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2"/>
  </bookViews>
  <sheets>
    <sheet name="A forte B forte" sheetId="1" r:id="rId1"/>
    <sheet name="A debole B forte" sheetId="3" r:id="rId2"/>
    <sheet name="A debole B forte (2)" sheetId="4" r:id="rId3"/>
  </sheets>
  <calcPr calcId="145621"/>
</workbook>
</file>

<file path=xl/calcChain.xml><?xml version="1.0" encoding="utf-8"?>
<calcChain xmlns="http://schemas.openxmlformats.org/spreadsheetml/2006/main">
  <c r="C5" i="4" l="1"/>
  <c r="Q11" i="4"/>
  <c r="R11" i="4"/>
  <c r="O11" i="4"/>
  <c r="N11" i="4"/>
  <c r="M10" i="4"/>
  <c r="M11" i="4"/>
  <c r="E11" i="4"/>
  <c r="F11" i="4"/>
  <c r="G11" i="4"/>
  <c r="I11" i="4"/>
  <c r="J11" i="4"/>
  <c r="K11" i="4"/>
  <c r="D11" i="4"/>
  <c r="C11" i="4"/>
  <c r="I10" i="1"/>
  <c r="K10" i="1"/>
  <c r="C15" i="1"/>
  <c r="C11" i="1"/>
  <c r="C10" i="1"/>
  <c r="C14" i="1"/>
  <c r="I11" i="1"/>
  <c r="C10" i="3"/>
  <c r="C12" i="3"/>
  <c r="I10" i="3"/>
  <c r="D10" i="3"/>
  <c r="C15" i="3"/>
  <c r="C11" i="3"/>
  <c r="I14" i="1"/>
  <c r="K14" i="1"/>
  <c r="K13" i="1"/>
  <c r="K15" i="1"/>
  <c r="K11" i="1"/>
  <c r="I13" i="1"/>
  <c r="I12" i="1"/>
  <c r="E10" i="1"/>
  <c r="J10" i="1"/>
  <c r="M10" i="1"/>
  <c r="C12" i="1"/>
  <c r="F10" i="1"/>
  <c r="L10" i="1"/>
  <c r="D10" i="1"/>
  <c r="H10" i="1"/>
  <c r="G10" i="1"/>
  <c r="J14" i="1"/>
  <c r="J13" i="1"/>
  <c r="J15" i="1"/>
  <c r="J11" i="1"/>
  <c r="G14" i="1"/>
  <c r="G12" i="1"/>
  <c r="G15" i="1"/>
  <c r="G11" i="1"/>
  <c r="F12" i="1"/>
  <c r="F15" i="1"/>
  <c r="F11" i="1"/>
  <c r="F14" i="1"/>
  <c r="E14" i="1"/>
  <c r="E12" i="1"/>
  <c r="E15" i="1"/>
  <c r="E11" i="1"/>
  <c r="H14" i="1"/>
  <c r="H12" i="1"/>
  <c r="H15" i="1"/>
  <c r="H11" i="1"/>
  <c r="L13" i="1"/>
  <c r="L15" i="1"/>
  <c r="L11" i="1"/>
  <c r="L14" i="1"/>
  <c r="D14" i="1"/>
  <c r="D12" i="1"/>
  <c r="D15" i="1"/>
  <c r="D11" i="1"/>
  <c r="M14" i="1"/>
  <c r="M13" i="1"/>
  <c r="M15" i="1"/>
  <c r="M11" i="1"/>
  <c r="L11" i="4"/>
  <c r="H11" i="4"/>
  <c r="P11" i="4"/>
  <c r="J10" i="3"/>
  <c r="G10" i="3"/>
  <c r="I14" i="3"/>
  <c r="I15" i="3"/>
  <c r="I11" i="3"/>
  <c r="K10" i="3"/>
  <c r="F10" i="3"/>
  <c r="I12" i="3"/>
  <c r="C14" i="3"/>
  <c r="I13" i="3"/>
  <c r="M10" i="3"/>
  <c r="D12" i="3"/>
  <c r="D14" i="3"/>
  <c r="L10" i="3"/>
  <c r="E10" i="3"/>
  <c r="H10" i="3"/>
  <c r="F12" i="3"/>
  <c r="F15" i="3"/>
  <c r="F11" i="3"/>
  <c r="F14" i="3"/>
  <c r="K14" i="3"/>
  <c r="K13" i="3"/>
  <c r="K15" i="3"/>
  <c r="K11" i="3"/>
  <c r="G14" i="3"/>
  <c r="G12" i="3"/>
  <c r="J13" i="3"/>
  <c r="J15" i="3"/>
  <c r="J11" i="3"/>
  <c r="J14" i="3"/>
  <c r="D15" i="3"/>
  <c r="D11" i="3"/>
  <c r="M14" i="3"/>
  <c r="M13" i="3"/>
  <c r="M15" i="3"/>
  <c r="M11" i="3"/>
  <c r="E14" i="3"/>
  <c r="E12" i="3"/>
  <c r="H12" i="3"/>
  <c r="H14" i="3"/>
  <c r="L13" i="3"/>
  <c r="L15" i="3"/>
  <c r="L11" i="3"/>
  <c r="L14" i="3"/>
  <c r="G15" i="3"/>
  <c r="G11" i="3"/>
  <c r="H15" i="3"/>
  <c r="H11" i="3"/>
  <c r="E15" i="3"/>
  <c r="E11" i="3"/>
</calcChain>
</file>

<file path=xl/sharedStrings.xml><?xml version="1.0" encoding="utf-8"?>
<sst xmlns="http://schemas.openxmlformats.org/spreadsheetml/2006/main" count="39" uniqueCount="21">
  <si>
    <t>Titolazione acido debole monoprotico  -  base forte monoprotica</t>
  </si>
  <si>
    <t xml:space="preserve">Concentrazione soluzione da titolare (N) </t>
  </si>
  <si>
    <t>Modificando la concentrazione (inserire valori compresi tra 0,01 e 1 eq/l), la costante dell'acido (inserire valori compresi tra 0,001 e 0,0000001 eq/l) e il volume della soluzione, la curva di titolazione acido base si aggiornerà automaticamente</t>
  </si>
  <si>
    <t xml:space="preserve">Concentrazione soluzione Titolante (N) </t>
  </si>
  <si>
    <t>Costante acido</t>
  </si>
  <si>
    <t>Volume soluzione da titolare (ml)</t>
  </si>
  <si>
    <t>Stato della soluzione</t>
  </si>
  <si>
    <t>Eccesso di acido</t>
  </si>
  <si>
    <t>Punto equivalente</t>
  </si>
  <si>
    <t>Eccesso di base</t>
  </si>
  <si>
    <t>Titolante aggiunto (ml)</t>
  </si>
  <si>
    <t>pH</t>
  </si>
  <si>
    <t>Acido in eccesso (equivalenti)</t>
  </si>
  <si>
    <t>Base in eccesso (equivalenti)</t>
  </si>
  <si>
    <t>Sale formato (equivalenti)</t>
  </si>
  <si>
    <t>Concentrazione idrogenoionica</t>
  </si>
  <si>
    <t>Modificando la concentrazione (inserire valori compresi tra 0,0001 e 1 eq/l) e il volume della soluzione, la curva di titolazione acido base si aggiornerà automaticamente</t>
  </si>
  <si>
    <t xml:space="preserve">Concentrazione soluzione da Titolare (N) </t>
  </si>
  <si>
    <t>Titolazione acido forte monoprotico  -  base forte monoprotica</t>
  </si>
  <si>
    <t>mL NaOH aggiunti</t>
  </si>
  <si>
    <t>Modificare la concentrazione in C4(inserire valori compresi tra 0,01 e 1 eq/l), la costante dell'acido (inserire valori compresi tra 0,001 e 0,0000001 eq/l). E' possibile modificare anche il volume della sostanza da titolare e i mL di NaOH aggiunti ad eccezione del volume al punto equivalente (M10) che si aggiorna automaticamente. Osservare il grafico dopo aver apportato le variazioni.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</si>
</sst>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4"/>
      <name val="Arial"/>
    </font>
    <font>
      <sz val="16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2" borderId="3" xfId="0" applyFill="1" applyBorder="1" applyAlignment="1" applyProtection="1">
      <alignment vertical="center"/>
    </xf>
    <xf numFmtId="11" fontId="0" fillId="0" borderId="2" xfId="0" applyNumberFormat="1" applyBorder="1" applyAlignment="1" applyProtection="1">
      <alignment horizontal="center" vertical="center"/>
      <protection locked="0"/>
    </xf>
    <xf numFmtId="11" fontId="0" fillId="0" borderId="0" xfId="0" applyNumberFormat="1" applyBorder="1" applyProtection="1"/>
    <xf numFmtId="0" fontId="0" fillId="2" borderId="4" xfId="0" applyFill="1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vertical="center" wrapText="1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vertical="center" wrapText="1"/>
    </xf>
    <xf numFmtId="0" fontId="0" fillId="2" borderId="17" xfId="0" applyFill="1" applyBorder="1" applyAlignment="1" applyProtection="1">
      <alignment horizontal="center" vertical="center"/>
    </xf>
    <xf numFmtId="11" fontId="0" fillId="2" borderId="17" xfId="0" applyNumberForma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0" fillId="0" borderId="28" xfId="0" applyBorder="1" applyAlignment="1" applyProtection="1">
      <alignment horizontal="right"/>
    </xf>
    <xf numFmtId="0" fontId="0" fillId="0" borderId="29" xfId="0" applyBorder="1" applyAlignment="1" applyProtection="1">
      <alignment horizontal="right"/>
    </xf>
    <xf numFmtId="2" fontId="0" fillId="0" borderId="0" xfId="0" applyNumberFormat="1" applyProtection="1"/>
    <xf numFmtId="0" fontId="0" fillId="0" borderId="2" xfId="0" applyBorder="1" applyAlignment="1" applyProtection="1">
      <alignment horizontal="center" vertical="center"/>
    </xf>
    <xf numFmtId="0" fontId="0" fillId="0" borderId="11" xfId="0" applyBorder="1" applyProtection="1"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22" xfId="0" applyFont="1" applyFill="1" applyBorder="1" applyAlignment="1" applyProtection="1">
      <alignment horizontal="left" vertical="center" wrapText="1"/>
    </xf>
    <xf numFmtId="0" fontId="1" fillId="3" borderId="23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25" xfId="0" applyFont="1" applyFill="1" applyBorder="1" applyAlignment="1" applyProtection="1">
      <alignment horizontal="left" vertical="center" wrapText="1"/>
    </xf>
    <xf numFmtId="0" fontId="1" fillId="3" borderId="26" xfId="0" applyFont="1" applyFill="1" applyBorder="1" applyAlignment="1" applyProtection="1">
      <alignment horizontal="left" vertical="center" wrapText="1"/>
    </xf>
    <xf numFmtId="0" fontId="1" fillId="3" borderId="18" xfId="0" applyFont="1" applyFill="1" applyBorder="1" applyAlignment="1" applyProtection="1">
      <alignment horizontal="left" vertical="center" wrapText="1"/>
    </xf>
    <xf numFmtId="0" fontId="1" fillId="3" borderId="27" xfId="0" applyFont="1" applyFill="1" applyBorder="1" applyAlignment="1" applyProtection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Titolazione Acido forte - Base forte</a:t>
            </a:r>
          </a:p>
        </c:rich>
      </c:tx>
      <c:layout>
        <c:manualLayout>
          <c:xMode val="edge"/>
          <c:yMode val="edge"/>
          <c:x val="0.33264462809917356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42148760330578E-2"/>
          <c:y val="0.15264202452492864"/>
          <c:w val="0.88429752066115708"/>
          <c:h val="0.700587753588775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 forte B forte'!$B$11</c:f>
              <c:strCache>
                <c:ptCount val="1"/>
                <c:pt idx="0">
                  <c:v>pH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forte B forte'!$C$10:$M$10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5</c:v>
                </c:pt>
                <c:pt idx="2">
                  <c:v>25</c:v>
                </c:pt>
                <c:pt idx="3">
                  <c:v>47.5</c:v>
                </c:pt>
                <c:pt idx="4">
                  <c:v>48.5</c:v>
                </c:pt>
                <c:pt idx="5">
                  <c:v>49.5</c:v>
                </c:pt>
                <c:pt idx="6" formatCode="General">
                  <c:v>50</c:v>
                </c:pt>
                <c:pt idx="7">
                  <c:v>50.5</c:v>
                </c:pt>
                <c:pt idx="8">
                  <c:v>55.000000000000007</c:v>
                </c:pt>
                <c:pt idx="9">
                  <c:v>60</c:v>
                </c:pt>
                <c:pt idx="10">
                  <c:v>70</c:v>
                </c:pt>
              </c:numCache>
            </c:numRef>
          </c:xVal>
          <c:yVal>
            <c:numRef>
              <c:f>'A forte B forte'!$C$11:$M$11</c:f>
              <c:numCache>
                <c:formatCode>0.00</c:formatCode>
                <c:ptCount val="11"/>
                <c:pt idx="0">
                  <c:v>2</c:v>
                </c:pt>
                <c:pt idx="1">
                  <c:v>2.0871501757189002</c:v>
                </c:pt>
                <c:pt idx="2">
                  <c:v>2.4771212547196626</c:v>
                </c:pt>
                <c:pt idx="3">
                  <c:v>3.5910646070264995</c:v>
                </c:pt>
                <c:pt idx="4">
                  <c:v>3.8173449714419303</c:v>
                </c:pt>
                <c:pt idx="5">
                  <c:v>4.2988530764097064</c:v>
                </c:pt>
                <c:pt idx="6">
                  <c:v>7</c:v>
                </c:pt>
                <c:pt idx="7">
                  <c:v>9.6968039425795123</c:v>
                </c:pt>
                <c:pt idx="8">
                  <c:v>10.67778070526608</c:v>
                </c:pt>
                <c:pt idx="9">
                  <c:v>10.958607314841775</c:v>
                </c:pt>
                <c:pt idx="10">
                  <c:v>11.221848749616356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38496"/>
        <c:axId val="170856832"/>
      </c:scatterChart>
      <c:valAx>
        <c:axId val="18893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Volume titolante (ml)</a:t>
                </a:r>
              </a:p>
            </c:rich>
          </c:tx>
          <c:layout>
            <c:manualLayout>
              <c:xMode val="edge"/>
              <c:yMode val="edge"/>
              <c:x val="0.45144628099173556"/>
              <c:y val="0.91389514666831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0856832"/>
        <c:crossesAt val="0"/>
        <c:crossBetween val="midCat"/>
      </c:valAx>
      <c:valAx>
        <c:axId val="170856832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pH</a:t>
                </a:r>
              </a:p>
            </c:rich>
          </c:tx>
          <c:layout>
            <c:manualLayout>
              <c:xMode val="edge"/>
              <c:yMode val="edge"/>
              <c:x val="1.6528925619834711E-2"/>
              <c:y val="0.47553857137720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88938496"/>
        <c:crosses val="autoZero"/>
        <c:crossBetween val="midCat"/>
        <c:majorUnit val="2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Titolazione acido debole - Base forte</a:t>
            </a:r>
          </a:p>
        </c:rich>
      </c:tx>
      <c:layout>
        <c:manualLayout>
          <c:xMode val="edge"/>
          <c:yMode val="edge"/>
          <c:x val="0.32334710743801653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42148760330578E-2"/>
          <c:y val="0.15264202452492864"/>
          <c:w val="0.88429752066115708"/>
          <c:h val="0.700587753588775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 debole B forte'!$B$11</c:f>
              <c:strCache>
                <c:ptCount val="1"/>
                <c:pt idx="0">
                  <c:v>pH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debole B forte'!$C$10:$M$10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5</c:v>
                </c:pt>
                <c:pt idx="2">
                  <c:v>25</c:v>
                </c:pt>
                <c:pt idx="3">
                  <c:v>47.5</c:v>
                </c:pt>
                <c:pt idx="4">
                  <c:v>48.5</c:v>
                </c:pt>
                <c:pt idx="5">
                  <c:v>49.5</c:v>
                </c:pt>
                <c:pt idx="6" formatCode="General">
                  <c:v>50</c:v>
                </c:pt>
                <c:pt idx="7">
                  <c:v>50.5</c:v>
                </c:pt>
                <c:pt idx="8">
                  <c:v>55.000000000000007</c:v>
                </c:pt>
                <c:pt idx="9">
                  <c:v>60</c:v>
                </c:pt>
                <c:pt idx="10">
                  <c:v>70</c:v>
                </c:pt>
              </c:numCache>
            </c:numRef>
          </c:xVal>
          <c:yVal>
            <c:numRef>
              <c:f>'A debole B forte'!$C$11:$M$11</c:f>
              <c:numCache>
                <c:formatCode>0.00</c:formatCode>
                <c:ptCount val="11"/>
                <c:pt idx="0">
                  <c:v>2.8723637474483468</c:v>
                </c:pt>
                <c:pt idx="1">
                  <c:v>3.7904849854573692</c:v>
                </c:pt>
                <c:pt idx="2">
                  <c:v>4.7447274948966935</c:v>
                </c:pt>
                <c:pt idx="3">
                  <c:v>6.0234810958495224</c:v>
                </c:pt>
                <c:pt idx="4">
                  <c:v>6.2543779744432779</c:v>
                </c:pt>
                <c:pt idx="5">
                  <c:v>6.740362689494245</c:v>
                </c:pt>
                <c:pt idx="6">
                  <c:v>8.7218487496163561</c:v>
                </c:pt>
                <c:pt idx="7">
                  <c:v>10.696803942579518</c:v>
                </c:pt>
                <c:pt idx="8">
                  <c:v>11.677780705266082</c:v>
                </c:pt>
                <c:pt idx="9">
                  <c:v>11.958607314841775</c:v>
                </c:pt>
                <c:pt idx="10">
                  <c:v>12.221848749616356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09536"/>
        <c:axId val="171011456"/>
      </c:scatterChart>
      <c:valAx>
        <c:axId val="17100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Volume titolante (ml)</a:t>
                </a:r>
              </a:p>
            </c:rich>
          </c:tx>
          <c:layout>
            <c:manualLayout>
              <c:xMode val="edge"/>
              <c:yMode val="edge"/>
              <c:x val="0.45144628099173556"/>
              <c:y val="0.91389514666831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1011456"/>
        <c:crossesAt val="0"/>
        <c:crossBetween val="midCat"/>
      </c:valAx>
      <c:valAx>
        <c:axId val="171011456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pH</a:t>
                </a:r>
              </a:p>
            </c:rich>
          </c:tx>
          <c:layout>
            <c:manualLayout>
              <c:xMode val="edge"/>
              <c:yMode val="edge"/>
              <c:x val="1.6528925619834711E-2"/>
              <c:y val="0.47553857137720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1009536"/>
        <c:crosses val="autoZero"/>
        <c:crossBetween val="midCat"/>
        <c:majorUnit val="2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 debole B forte (2)'!$B$11</c:f>
              <c:strCache>
                <c:ptCount val="1"/>
                <c:pt idx="0">
                  <c:v>pH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'A debole B forte (2)'!$C$10:$R$10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45</c:v>
                </c:pt>
                <c:pt idx="6">
                  <c:v>48</c:v>
                </c:pt>
                <c:pt idx="7">
                  <c:v>49</c:v>
                </c:pt>
                <c:pt idx="8">
                  <c:v>49.5</c:v>
                </c:pt>
                <c:pt idx="9">
                  <c:v>49.9</c:v>
                </c:pt>
                <c:pt idx="10">
                  <c:v>50</c:v>
                </c:pt>
                <c:pt idx="11">
                  <c:v>50.1</c:v>
                </c:pt>
                <c:pt idx="12">
                  <c:v>50.5</c:v>
                </c:pt>
                <c:pt idx="13">
                  <c:v>51</c:v>
                </c:pt>
                <c:pt idx="14">
                  <c:v>55</c:v>
                </c:pt>
                <c:pt idx="15">
                  <c:v>70</c:v>
                </c:pt>
              </c:numCache>
            </c:numRef>
          </c:xVal>
          <c:yVal>
            <c:numRef>
              <c:f>'A debole B forte (2)'!$C$11:$R$11</c:f>
              <c:numCache>
                <c:formatCode>0.00</c:formatCode>
                <c:ptCount val="16"/>
                <c:pt idx="0">
                  <c:v>2.8723637474483468</c:v>
                </c:pt>
                <c:pt idx="1">
                  <c:v>3.7904849854573692</c:v>
                </c:pt>
                <c:pt idx="2">
                  <c:v>4.1426675035687319</c:v>
                </c:pt>
                <c:pt idx="3">
                  <c:v>4.5686362358410131</c:v>
                </c:pt>
                <c:pt idx="4">
                  <c:v>5.346787486224656</c:v>
                </c:pt>
                <c:pt idx="5">
                  <c:v>5.6989700043360187</c:v>
                </c:pt>
                <c:pt idx="6">
                  <c:v>6.1249387366083008</c:v>
                </c:pt>
                <c:pt idx="7">
                  <c:v>6.4349235749252101</c:v>
                </c:pt>
                <c:pt idx="8">
                  <c:v>6.7403626894942468</c:v>
                </c:pt>
                <c:pt idx="9">
                  <c:v>7.4428280405201015</c:v>
                </c:pt>
                <c:pt idx="10">
                  <c:v>8.7218487496163561</c:v>
                </c:pt>
                <c:pt idx="11">
                  <c:v>9.999565922520711</c:v>
                </c:pt>
                <c:pt idx="12">
                  <c:v>10.696803942579518</c:v>
                </c:pt>
                <c:pt idx="13">
                  <c:v>10.995678626217359</c:v>
                </c:pt>
                <c:pt idx="14">
                  <c:v>11.67778070526608</c:v>
                </c:pt>
                <c:pt idx="15">
                  <c:v>12.221848749616356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03808"/>
        <c:axId val="188905344"/>
      </c:scatterChart>
      <c:valAx>
        <c:axId val="188903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8905344"/>
        <c:crosses val="autoZero"/>
        <c:crossBetween val="midCat"/>
      </c:valAx>
      <c:valAx>
        <c:axId val="188905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8903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9525</xdr:rowOff>
    </xdr:from>
    <xdr:to>
      <xdr:col>13</xdr:col>
      <xdr:colOff>19050</xdr:colOff>
      <xdr:row>46</xdr:row>
      <xdr:rowOff>19050</xdr:rowOff>
    </xdr:to>
    <xdr:graphicFrame macro="">
      <xdr:nvGraphicFramePr>
        <xdr:cNvPr id="103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9525</xdr:rowOff>
    </xdr:from>
    <xdr:to>
      <xdr:col>13</xdr:col>
      <xdr:colOff>19050</xdr:colOff>
      <xdr:row>46</xdr:row>
      <xdr:rowOff>19050</xdr:rowOff>
    </xdr:to>
    <xdr:graphicFrame macro="">
      <xdr:nvGraphicFramePr>
        <xdr:cNvPr id="205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0</xdr:rowOff>
    </xdr:from>
    <xdr:to>
      <xdr:col>18</xdr:col>
      <xdr:colOff>19050</xdr:colOff>
      <xdr:row>63</xdr:row>
      <xdr:rowOff>66675</xdr:rowOff>
    </xdr:to>
    <xdr:graphicFrame macro="">
      <xdr:nvGraphicFramePr>
        <xdr:cNvPr id="1945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workbookViewId="0">
      <selection activeCell="L6" sqref="L6"/>
    </sheetView>
  </sheetViews>
  <sheetFormatPr defaultRowHeight="12.75" x14ac:dyDescent="0.2"/>
  <cols>
    <col min="1" max="1" width="5.7109375" style="1" customWidth="1"/>
    <col min="2" max="2" width="21.85546875" style="1" customWidth="1"/>
    <col min="3" max="3" width="9.140625" style="1"/>
    <col min="4" max="4" width="11.28515625" style="1" customWidth="1"/>
    <col min="5" max="5" width="10.28515625" style="1" customWidth="1"/>
    <col min="6" max="6" width="9.42578125" style="1" customWidth="1"/>
    <col min="7" max="8" width="9.5703125" style="1" customWidth="1"/>
    <col min="9" max="10" width="13.28515625" style="1" customWidth="1"/>
    <col min="11" max="11" width="11.28515625" style="1" customWidth="1"/>
    <col min="12" max="13" width="9.5703125" style="1" bestFit="1" customWidth="1"/>
    <col min="14" max="16384" width="9.140625" style="1"/>
  </cols>
  <sheetData>
    <row r="2" spans="1:13" ht="24.75" customHeight="1" x14ac:dyDescent="0.2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5.25" customHeight="1" thickBot="1" x14ac:dyDescent="0.25">
      <c r="B4" s="3" t="s">
        <v>17</v>
      </c>
      <c r="C4" s="4">
        <v>0.01</v>
      </c>
      <c r="D4" s="5"/>
      <c r="E4" s="36" t="s">
        <v>16</v>
      </c>
      <c r="F4" s="37"/>
      <c r="G4" s="37"/>
      <c r="H4" s="37"/>
      <c r="I4" s="37"/>
      <c r="J4" s="38"/>
      <c r="K4" s="5"/>
      <c r="L4" s="5"/>
      <c r="M4" s="5"/>
    </row>
    <row r="5" spans="1:13" ht="30.75" customHeight="1" thickBot="1" x14ac:dyDescent="0.25">
      <c r="B5" s="3" t="s">
        <v>3</v>
      </c>
      <c r="C5" s="4">
        <v>0.01</v>
      </c>
      <c r="D5" s="5"/>
      <c r="E5" s="39"/>
      <c r="F5" s="40"/>
      <c r="G5" s="40"/>
      <c r="H5" s="40"/>
      <c r="I5" s="40"/>
      <c r="J5" s="41"/>
      <c r="K5" s="5"/>
      <c r="L5" s="5"/>
      <c r="M5" s="5"/>
    </row>
    <row r="6" spans="1:13" ht="30" customHeight="1" thickBot="1" x14ac:dyDescent="0.25">
      <c r="B6" s="9" t="s">
        <v>5</v>
      </c>
      <c r="C6" s="4">
        <v>50</v>
      </c>
      <c r="D6" s="5"/>
      <c r="E6" s="39"/>
      <c r="F6" s="40"/>
      <c r="G6" s="40"/>
      <c r="H6" s="40"/>
      <c r="I6" s="40"/>
      <c r="J6" s="41"/>
      <c r="K6" s="5"/>
      <c r="L6" s="5"/>
      <c r="M6" s="5"/>
    </row>
    <row r="7" spans="1:13" ht="24" customHeight="1" thickBot="1" x14ac:dyDescent="0.25">
      <c r="B7" s="10"/>
      <c r="C7" s="5"/>
      <c r="D7" s="5"/>
      <c r="E7" s="42"/>
      <c r="F7" s="43"/>
      <c r="G7" s="43"/>
      <c r="H7" s="43"/>
      <c r="I7" s="43"/>
      <c r="J7" s="44"/>
      <c r="K7" s="5"/>
      <c r="L7" s="5"/>
      <c r="M7" s="5"/>
    </row>
    <row r="8" spans="1:13" ht="24" customHeight="1" thickBot="1" x14ac:dyDescent="0.25">
      <c r="B8" s="10"/>
      <c r="C8" s="5"/>
      <c r="D8" s="5"/>
      <c r="E8" s="25"/>
      <c r="F8" s="25"/>
      <c r="G8" s="25"/>
      <c r="H8" s="25"/>
      <c r="I8" s="25"/>
      <c r="J8" s="25"/>
      <c r="K8" s="5"/>
      <c r="L8" s="5"/>
      <c r="M8" s="5"/>
    </row>
    <row r="9" spans="1:13" ht="30" customHeight="1" thickBot="1" x14ac:dyDescent="0.25">
      <c r="B9" s="11" t="s">
        <v>6</v>
      </c>
      <c r="C9" s="33" t="s">
        <v>7</v>
      </c>
      <c r="D9" s="34"/>
      <c r="E9" s="34"/>
      <c r="F9" s="34"/>
      <c r="G9" s="34"/>
      <c r="H9" s="12"/>
      <c r="I9" s="13" t="s">
        <v>8</v>
      </c>
      <c r="J9" s="33" t="s">
        <v>9</v>
      </c>
      <c r="K9" s="34"/>
      <c r="L9" s="34"/>
      <c r="M9" s="35"/>
    </row>
    <row r="10" spans="1:13" ht="30" customHeight="1" x14ac:dyDescent="0.2">
      <c r="B10" s="14" t="s">
        <v>10</v>
      </c>
      <c r="C10" s="15">
        <f>IF($C$4&gt;0,IF($C$5&gt;0,IF($C$6&gt;0,0,""),""),"")</f>
        <v>0</v>
      </c>
      <c r="D10" s="16">
        <f>IF($C$4&gt;0,IF($C$5&gt;0,IF($C$6&gt;0,$I$10*0.1,""),""),"")</f>
        <v>5</v>
      </c>
      <c r="E10" s="16">
        <f>IF($C$4&gt;0,IF($C$5&gt;0,IF($C$6&gt;0,$I$10*0.5,""),""),"")</f>
        <v>25</v>
      </c>
      <c r="F10" s="16">
        <f>IF($C$4&gt;0,IF($C$5&gt;0,IF($C$6&gt;0,$I$10*0.95,""),""),"")</f>
        <v>47.5</v>
      </c>
      <c r="G10" s="16">
        <f>IF($C$4&gt;0,IF($C$5&gt;0,IF($C$6&gt;0,$I$10*0.97,""),""),"")</f>
        <v>48.5</v>
      </c>
      <c r="H10" s="16">
        <f>IF($C$4&gt;0,IF($C$5&gt;0,IF($C$6&gt;0,$I$10*0.99,""),""),"")</f>
        <v>49.5</v>
      </c>
      <c r="I10" s="17">
        <f>IF($C$4&gt;0,IF($C$5&gt;0,IF($C$6&gt;0,C6*C4/C5,""),""),"")</f>
        <v>50</v>
      </c>
      <c r="J10" s="16">
        <f>IF($C$4&gt;0,IF($C$5&gt;0,IF($C$6&gt;0,$I$10*1.01,""),""),"")</f>
        <v>50.5</v>
      </c>
      <c r="K10" s="16">
        <f>IF($C$4&gt;0,IF($C$5&gt;0,IF($C$6&gt;0,$I$10*1.1,""),""),"")</f>
        <v>55.000000000000007</v>
      </c>
      <c r="L10" s="16">
        <f>IF($C$4&gt;0,IF($C$5&gt;0,IF($C$6&gt;0,$I$10*1.2,""),""),"")</f>
        <v>60</v>
      </c>
      <c r="M10" s="16">
        <f>IF($C$4&gt;0,IF($C$5&gt;0,IF($C$6&gt;0,$I$10*1.4,""),""),"")</f>
        <v>70</v>
      </c>
    </row>
    <row r="11" spans="1:13" ht="30" customHeight="1" x14ac:dyDescent="0.2">
      <c r="B11" s="18" t="s">
        <v>11</v>
      </c>
      <c r="C11" s="16">
        <f t="shared" ref="C11:M11" si="0">IF($C$4&gt;0,IF($C$5&gt;0,IF($C$6&gt;0,-LOG(C15),""),""),"")</f>
        <v>2</v>
      </c>
      <c r="D11" s="16">
        <f t="shared" si="0"/>
        <v>2.0871501757189002</v>
      </c>
      <c r="E11" s="16">
        <f t="shared" si="0"/>
        <v>2.4771212547196626</v>
      </c>
      <c r="F11" s="16">
        <f t="shared" si="0"/>
        <v>3.5910646070264995</v>
      </c>
      <c r="G11" s="16">
        <f t="shared" si="0"/>
        <v>3.8173449714419303</v>
      </c>
      <c r="H11" s="16">
        <f t="shared" si="0"/>
        <v>4.2988530764097064</v>
      </c>
      <c r="I11" s="16">
        <f t="shared" si="0"/>
        <v>7</v>
      </c>
      <c r="J11" s="16">
        <f t="shared" si="0"/>
        <v>9.6968039425795123</v>
      </c>
      <c r="K11" s="16">
        <f t="shared" si="0"/>
        <v>10.67778070526608</v>
      </c>
      <c r="L11" s="16">
        <f t="shared" si="0"/>
        <v>10.958607314841775</v>
      </c>
      <c r="M11" s="16">
        <f t="shared" si="0"/>
        <v>11.221848749616356</v>
      </c>
    </row>
    <row r="12" spans="1:13" ht="30" customHeight="1" x14ac:dyDescent="0.2">
      <c r="B12" s="18" t="s">
        <v>12</v>
      </c>
      <c r="C12" s="19">
        <f t="shared" ref="C12:I12" si="1">IF($C$4&gt;0,IF($C$5&gt;0,IF($C$6&gt;0,($C$6*$C$4-C10*$C$5)/1000,""),""),"")</f>
        <v>5.0000000000000001E-4</v>
      </c>
      <c r="D12" s="19">
        <f t="shared" si="1"/>
        <v>4.4999999999999999E-4</v>
      </c>
      <c r="E12" s="19">
        <f t="shared" si="1"/>
        <v>2.5000000000000001E-4</v>
      </c>
      <c r="F12" s="19">
        <f t="shared" si="1"/>
        <v>2.4999999999999967E-5</v>
      </c>
      <c r="G12" s="19">
        <f t="shared" si="1"/>
        <v>1.5000000000000014E-5</v>
      </c>
      <c r="H12" s="19">
        <f t="shared" si="1"/>
        <v>5.0000000000000046E-6</v>
      </c>
      <c r="I12" s="19">
        <f t="shared" si="1"/>
        <v>0</v>
      </c>
      <c r="J12" s="19"/>
      <c r="K12" s="19"/>
      <c r="L12" s="19"/>
      <c r="M12" s="19"/>
    </row>
    <row r="13" spans="1:13" ht="30" customHeight="1" x14ac:dyDescent="0.2">
      <c r="B13" s="18" t="s">
        <v>13</v>
      </c>
      <c r="C13" s="19"/>
      <c r="D13" s="19"/>
      <c r="E13" s="19"/>
      <c r="F13" s="19"/>
      <c r="G13" s="19"/>
      <c r="H13" s="19"/>
      <c r="I13" s="19">
        <f>IF($C$4&gt;0,IF($C$5&gt;0,IF($C$6&gt;0,(I10*$C$5-$C$6*$C$4)/1000,""),""),"")</f>
        <v>0</v>
      </c>
      <c r="J13" s="19">
        <f>IF($C$4&gt;0,IF($C$5&gt;0,IF($C$6&gt;0,(J10*$C$5-$C$6*$C$4)/1000,""),""),"")</f>
        <v>5.0000000000000046E-6</v>
      </c>
      <c r="K13" s="19">
        <f>IF($C$4&gt;0,IF($C$5&gt;0,IF($C$6&gt;0,(K10*$C$5-$C$6*$C$4)/1000,""),""),"")</f>
        <v>5.0000000000000043E-5</v>
      </c>
      <c r="L13" s="19">
        <f>IF($C$4&gt;0,IF($C$5&gt;0,IF($C$6&gt;0,(L10*$C$5-$C$6*$C$4)/1000,""),""),"")</f>
        <v>9.9999999999999978E-5</v>
      </c>
      <c r="M13" s="19">
        <f>IF($C$4&gt;0,IF($C$5&gt;0,IF($C$6&gt;0,(M10*$C$5-$C$6*$C$4)/1000,""),""),"")</f>
        <v>2.0000000000000006E-4</v>
      </c>
    </row>
    <row r="14" spans="1:13" ht="30" customHeight="1" x14ac:dyDescent="0.2">
      <c r="B14" s="20" t="s">
        <v>14</v>
      </c>
      <c r="C14" s="21">
        <f t="shared" ref="C14:M14" si="2">IF($C$4&gt;0,IF($C$5&gt;0,IF($C$6&gt;0,C10*$C$5/1000,""),""),"")</f>
        <v>0</v>
      </c>
      <c r="D14" s="21">
        <f t="shared" si="2"/>
        <v>5.0000000000000002E-5</v>
      </c>
      <c r="E14" s="21">
        <f t="shared" si="2"/>
        <v>2.5000000000000001E-4</v>
      </c>
      <c r="F14" s="21">
        <f t="shared" si="2"/>
        <v>4.7500000000000005E-4</v>
      </c>
      <c r="G14" s="21">
        <f t="shared" si="2"/>
        <v>4.8499999999999997E-4</v>
      </c>
      <c r="H14" s="21">
        <f t="shared" si="2"/>
        <v>4.95E-4</v>
      </c>
      <c r="I14" s="21">
        <f t="shared" si="2"/>
        <v>5.0000000000000001E-4</v>
      </c>
      <c r="J14" s="21">
        <f t="shared" si="2"/>
        <v>5.0500000000000002E-4</v>
      </c>
      <c r="K14" s="21">
        <f t="shared" si="2"/>
        <v>5.5000000000000003E-4</v>
      </c>
      <c r="L14" s="21">
        <f t="shared" si="2"/>
        <v>5.9999999999999995E-4</v>
      </c>
      <c r="M14" s="21">
        <f t="shared" si="2"/>
        <v>7.000000000000001E-4</v>
      </c>
    </row>
    <row r="15" spans="1:13" ht="30" customHeight="1" thickBot="1" x14ac:dyDescent="0.25">
      <c r="B15" s="22" t="s">
        <v>15</v>
      </c>
      <c r="C15" s="23">
        <f>IF($C$4&gt;0,IF(C5&gt;0,IF(C6&gt;0,C4,""),""),"")</f>
        <v>0.01</v>
      </c>
      <c r="D15" s="24">
        <f>IF($C$4&gt;0,IF($C$5&gt;0,IF($C$6&gt;0,D12/(($C$6+D10)/1000),""),""),"")</f>
        <v>8.1818181818181807E-3</v>
      </c>
      <c r="E15" s="24">
        <f>IF($C$4&gt;0,IF($C$5&gt;0,IF($C$6&gt;0,E12/(($C$6+E10)/1000),""),""),"")</f>
        <v>3.3333333333333335E-3</v>
      </c>
      <c r="F15" s="24">
        <f>IF($C$4&gt;0,IF($C$5&gt;0,IF($C$6&gt;0,F12/(($C$6+F10)/1000),""),""),"")</f>
        <v>2.5641025641025608E-4</v>
      </c>
      <c r="G15" s="24">
        <f>IF($C$4&gt;0,IF($C$5&gt;0,IF($C$6&gt;0,G12/(($C$6+G10)/1000),""),""),"")</f>
        <v>1.52284263959391E-4</v>
      </c>
      <c r="H15" s="24">
        <f>IF($C$4&gt;0,IF($C$5&gt;0,IF($C$6&gt;0,H12/(($C$6+H10)/1000),""),""),"")</f>
        <v>5.0251256281407077E-5</v>
      </c>
      <c r="I15" s="23">
        <v>9.9999999999999995E-8</v>
      </c>
      <c r="J15" s="23">
        <f>IF($C$4&gt;0,IF($C$5&gt;0,IF($C$6&gt;0,0.00000000000001/(J13/(($C$6+J10)/1000)),""),""),"")</f>
        <v>2.0099999999999982E-10</v>
      </c>
      <c r="K15" s="23">
        <f>IF($C$4&gt;0,IF($C$5&gt;0,IF($C$6&gt;0,0.00000000000001/(K13/(($C$6+K10)/1000)),""),""),"")</f>
        <v>2.0999999999999982E-11</v>
      </c>
      <c r="L15" s="23">
        <f>IF($C$4&gt;0,IF($C$5&gt;0,IF($C$6&gt;0,0.00000000000001/(L13/(($C$6+L10)/1000)),""),""),"")</f>
        <v>1.1000000000000002E-11</v>
      </c>
      <c r="M15" s="23">
        <f>IF($C$4&gt;0,IF($C$5&gt;0,IF($C$6&gt;0,0.00000000000001/(M13/(($C$6+M10)/1000)),""),""),"")</f>
        <v>5.9999999999999979E-12</v>
      </c>
    </row>
  </sheetData>
  <sheetProtection password="E864" sheet="1"/>
  <mergeCells count="4">
    <mergeCell ref="A2:M2"/>
    <mergeCell ref="C9:G9"/>
    <mergeCell ref="J9:M9"/>
    <mergeCell ref="E4:J7"/>
  </mergeCells>
  <phoneticPr fontId="0" type="noConversion"/>
  <pageMargins left="1.23" right="0.75" top="1" bottom="0.78" header="0.5" footer="0.5"/>
  <pageSetup paperSize="9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workbookViewId="0">
      <selection activeCell="N5" sqref="N5"/>
    </sheetView>
  </sheetViews>
  <sheetFormatPr defaultRowHeight="12.75" x14ac:dyDescent="0.2"/>
  <cols>
    <col min="1" max="1" width="5.7109375" style="1" customWidth="1"/>
    <col min="2" max="2" width="21.85546875" style="1" customWidth="1"/>
    <col min="3" max="3" width="9.140625" style="1"/>
    <col min="4" max="4" width="11.28515625" style="1" customWidth="1"/>
    <col min="5" max="5" width="10.28515625" style="1" customWidth="1"/>
    <col min="6" max="6" width="9.42578125" style="1" customWidth="1"/>
    <col min="7" max="8" width="9.5703125" style="1" customWidth="1"/>
    <col min="9" max="10" width="13.28515625" style="1" customWidth="1"/>
    <col min="11" max="11" width="11.28515625" style="1" customWidth="1"/>
    <col min="12" max="13" width="9.5703125" style="1" bestFit="1" customWidth="1"/>
    <col min="14" max="16384" width="9.140625" style="1"/>
  </cols>
  <sheetData>
    <row r="2" spans="1:13" ht="24.75" customHeight="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0" customHeight="1" thickBot="1" x14ac:dyDescent="0.25">
      <c r="B4" s="3" t="s">
        <v>1</v>
      </c>
      <c r="C4" s="4">
        <v>0.1</v>
      </c>
      <c r="D4" s="5"/>
      <c r="E4" s="36" t="s">
        <v>2</v>
      </c>
      <c r="F4" s="37"/>
      <c r="G4" s="37"/>
      <c r="H4" s="37"/>
      <c r="I4" s="37"/>
      <c r="J4" s="38"/>
      <c r="K4" s="5"/>
      <c r="L4" s="5"/>
      <c r="M4" s="5"/>
    </row>
    <row r="5" spans="1:13" ht="30" customHeight="1" thickBot="1" x14ac:dyDescent="0.25">
      <c r="B5" s="3" t="s">
        <v>3</v>
      </c>
      <c r="C5" s="4">
        <v>0.1</v>
      </c>
      <c r="D5" s="5"/>
      <c r="E5" s="39"/>
      <c r="F5" s="40"/>
      <c r="G5" s="40"/>
      <c r="H5" s="40"/>
      <c r="I5" s="40"/>
      <c r="J5" s="41"/>
      <c r="K5" s="5"/>
    </row>
    <row r="6" spans="1:13" ht="30" customHeight="1" thickBot="1" x14ac:dyDescent="0.25">
      <c r="B6" s="6" t="s">
        <v>4</v>
      </c>
      <c r="C6" s="7">
        <v>1.8E-5</v>
      </c>
      <c r="D6" s="8"/>
      <c r="E6" s="39"/>
      <c r="F6" s="40"/>
      <c r="G6" s="40"/>
      <c r="H6" s="40"/>
      <c r="I6" s="40"/>
      <c r="J6" s="41"/>
      <c r="K6" s="5"/>
      <c r="M6" s="5"/>
    </row>
    <row r="7" spans="1:13" ht="30" customHeight="1" thickBot="1" x14ac:dyDescent="0.25">
      <c r="B7" s="9" t="s">
        <v>5</v>
      </c>
      <c r="C7" s="4">
        <v>50</v>
      </c>
      <c r="D7" s="5"/>
      <c r="E7" s="42"/>
      <c r="F7" s="43"/>
      <c r="G7" s="43"/>
      <c r="H7" s="43"/>
      <c r="I7" s="43"/>
      <c r="J7" s="44"/>
      <c r="K7" s="5"/>
      <c r="M7" s="5"/>
    </row>
    <row r="8" spans="1:13" ht="24" customHeight="1" thickBot="1" x14ac:dyDescent="0.25"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30" customHeight="1" thickBot="1" x14ac:dyDescent="0.25">
      <c r="B9" s="11" t="s">
        <v>6</v>
      </c>
      <c r="C9" s="33" t="s">
        <v>7</v>
      </c>
      <c r="D9" s="34"/>
      <c r="E9" s="34"/>
      <c r="F9" s="34"/>
      <c r="G9" s="34"/>
      <c r="H9" s="12"/>
      <c r="I9" s="13" t="s">
        <v>8</v>
      </c>
      <c r="J9" s="33" t="s">
        <v>9</v>
      </c>
      <c r="K9" s="34"/>
      <c r="L9" s="34"/>
      <c r="M9" s="35"/>
    </row>
    <row r="10" spans="1:13" ht="30" customHeight="1" x14ac:dyDescent="0.2">
      <c r="B10" s="14" t="s">
        <v>10</v>
      </c>
      <c r="C10" s="15">
        <f>IF($C$4&gt;0,IF($C$5&gt;0,IF($C$6&gt;0,IF($C$7&gt;0,0,""),""),""),"")</f>
        <v>0</v>
      </c>
      <c r="D10" s="16">
        <f>IF($C$4&gt;0,IF($C$5&gt;0,IF($C$6&gt;0,IF($C$7&gt;0,$I$10*0.1,""),""),""),"")</f>
        <v>5</v>
      </c>
      <c r="E10" s="16">
        <f>IF($C$4&gt;0,IF($C$5&gt;0,IF($C$6&gt;0,IF($C$7&gt;0,$I$10*0.5,""),""),""),"")</f>
        <v>25</v>
      </c>
      <c r="F10" s="16">
        <f>IF($C$4&gt;0,IF($C$5&gt;0,IF($C$6&gt;0,IF($C$7&gt;0,$I$10*0.95,""),""),""),"")</f>
        <v>47.5</v>
      </c>
      <c r="G10" s="16">
        <f>IF($C$4&gt;0,IF($C$5&gt;0,IF($C$6&gt;0,IF($C$7&gt;0,$I$10*0.97,""),""),""),"")</f>
        <v>48.5</v>
      </c>
      <c r="H10" s="16">
        <f>IF($C$4&gt;0,IF($C$5&gt;0,IF($C$6&gt;0,IF($C$7&gt;0,$I$10*0.99,""),""),""),"")</f>
        <v>49.5</v>
      </c>
      <c r="I10" s="17">
        <f>IF($C$4&gt;0,IF($C$5&gt;0,IF($C$6&gt;0,IF($C$7&gt;0,C7*C4/C5,""),""),""),"")</f>
        <v>50</v>
      </c>
      <c r="J10" s="16">
        <f>IF($C$4&gt;0,IF($C$5&gt;0,IF($C$6&gt;0,IF($C$7&gt;0,$I$10*1.01,""),""),""),"")</f>
        <v>50.5</v>
      </c>
      <c r="K10" s="16">
        <f>IF($C$4&gt;0,IF($C$5&gt;0,IF($C$6&gt;0,IF($C$7&gt;0,$I$10*1.1,""),""),""),"")</f>
        <v>55.000000000000007</v>
      </c>
      <c r="L10" s="16">
        <f>IF($C$4&gt;0,IF($C$5&gt;0,IF($C$6&gt;0,IF($C$7&gt;0,$I$10*1.2,""),""),""),"")</f>
        <v>60</v>
      </c>
      <c r="M10" s="16">
        <f>IF($C$4&gt;0,IF($C$5&gt;0,IF($C$6&gt;0,IF($C$7&gt;0,$I$10*1.4,""),""),""),"")</f>
        <v>70</v>
      </c>
    </row>
    <row r="11" spans="1:13" ht="30" customHeight="1" x14ac:dyDescent="0.2">
      <c r="B11" s="18" t="s">
        <v>11</v>
      </c>
      <c r="C11" s="16">
        <f t="shared" ref="C11:M11" si="0">IF($C$4&gt;0,IF($C$5&gt;0,IF($C$6&gt;0,IF($C$7&gt;0,-LOG(C15),""),""),""),"")</f>
        <v>2.8723637474483468</v>
      </c>
      <c r="D11" s="16">
        <f t="shared" si="0"/>
        <v>3.7904849854573692</v>
      </c>
      <c r="E11" s="16">
        <f t="shared" si="0"/>
        <v>4.7447274948966935</v>
      </c>
      <c r="F11" s="16">
        <f t="shared" si="0"/>
        <v>6.0234810958495224</v>
      </c>
      <c r="G11" s="16">
        <f t="shared" si="0"/>
        <v>6.2543779744432779</v>
      </c>
      <c r="H11" s="16">
        <f t="shared" si="0"/>
        <v>6.740362689494245</v>
      </c>
      <c r="I11" s="16">
        <f t="shared" si="0"/>
        <v>8.7218487496163561</v>
      </c>
      <c r="J11" s="16">
        <f t="shared" si="0"/>
        <v>10.696803942579518</v>
      </c>
      <c r="K11" s="16">
        <f t="shared" si="0"/>
        <v>11.677780705266082</v>
      </c>
      <c r="L11" s="16">
        <f t="shared" si="0"/>
        <v>11.958607314841775</v>
      </c>
      <c r="M11" s="16">
        <f t="shared" si="0"/>
        <v>12.221848749616356</v>
      </c>
    </row>
    <row r="12" spans="1:13" ht="30" customHeight="1" x14ac:dyDescent="0.2">
      <c r="B12" s="18" t="s">
        <v>12</v>
      </c>
      <c r="C12" s="19">
        <f t="shared" ref="C12:I12" si="1">IF($C$4&gt;0,IF($C$5&gt;0,IF($C$6&gt;0,IF($C$7&gt;0,($C$7*$C$4-C10*$C$5)/1000,""),""),""),"")</f>
        <v>5.0000000000000001E-3</v>
      </c>
      <c r="D12" s="19">
        <f t="shared" si="1"/>
        <v>4.4999999999999997E-3</v>
      </c>
      <c r="E12" s="19">
        <f t="shared" si="1"/>
        <v>2.5000000000000001E-3</v>
      </c>
      <c r="F12" s="19">
        <f t="shared" si="1"/>
        <v>2.5000000000000001E-4</v>
      </c>
      <c r="G12" s="19">
        <f t="shared" si="1"/>
        <v>1.4999999999999947E-4</v>
      </c>
      <c r="H12" s="19">
        <f t="shared" si="1"/>
        <v>4.9999999999999819E-5</v>
      </c>
      <c r="I12" s="19">
        <f t="shared" si="1"/>
        <v>0</v>
      </c>
      <c r="J12" s="19"/>
      <c r="K12" s="19"/>
      <c r="L12" s="19"/>
      <c r="M12" s="19"/>
    </row>
    <row r="13" spans="1:13" ht="30" customHeight="1" x14ac:dyDescent="0.2">
      <c r="B13" s="18" t="s">
        <v>13</v>
      </c>
      <c r="C13" s="19"/>
      <c r="D13" s="19"/>
      <c r="E13" s="19"/>
      <c r="F13" s="19"/>
      <c r="G13" s="19"/>
      <c r="H13" s="19"/>
      <c r="I13" s="19">
        <f>IF($C$4&gt;0,IF($C$5&gt;0,IF($C$6&gt;0,IF($C$7&gt;0,(I10*$C$5-$C$7*$C$4)/1000,""),""),""),"")</f>
        <v>0</v>
      </c>
      <c r="J13" s="19">
        <f>IF($C$4&gt;0,IF($C$5&gt;0,IF($C$6&gt;0,IF($C$7&gt;0,(J10*$C$5-$C$7*$C$4)/1000,""),""),""),"")</f>
        <v>5.0000000000000714E-5</v>
      </c>
      <c r="K13" s="19">
        <f>IF($C$4&gt;0,IF($C$5&gt;0,IF($C$6&gt;0,IF($C$7&gt;0,(K10*$C$5-$C$7*$C$4)/1000,""),""),""),"")</f>
        <v>5.0000000000000088E-4</v>
      </c>
      <c r="L13" s="19">
        <f>IF($C$4&gt;0,IF($C$5&gt;0,IF($C$6&gt;0,IF($C$7&gt;0,(L10*$C$5-$C$7*$C$4)/1000,""),""),""),"")</f>
        <v>1E-3</v>
      </c>
      <c r="M13" s="19">
        <f>IF($C$4&gt;0,IF($C$5&gt;0,IF($C$6&gt;0,IF($C$7&gt;0,(M10*$C$5-$C$7*$C$4)/1000,""),""),""),"")</f>
        <v>2E-3</v>
      </c>
    </row>
    <row r="14" spans="1:13" ht="30" customHeight="1" x14ac:dyDescent="0.2">
      <c r="B14" s="20" t="s">
        <v>14</v>
      </c>
      <c r="C14" s="21">
        <f t="shared" ref="C14:M14" si="2">IF($C$4&gt;0,IF($C$5&gt;0,IF($C$6&gt;0,IF($C$7&gt;0,C10*$C$5/1000,""),""),""),"")</f>
        <v>0</v>
      </c>
      <c r="D14" s="21">
        <f t="shared" si="2"/>
        <v>5.0000000000000001E-4</v>
      </c>
      <c r="E14" s="21">
        <f t="shared" si="2"/>
        <v>2.5000000000000001E-3</v>
      </c>
      <c r="F14" s="21">
        <f t="shared" si="2"/>
        <v>4.7499999999999999E-3</v>
      </c>
      <c r="G14" s="21">
        <f t="shared" si="2"/>
        <v>4.8500000000000001E-3</v>
      </c>
      <c r="H14" s="21">
        <f t="shared" si="2"/>
        <v>4.9500000000000004E-3</v>
      </c>
      <c r="I14" s="21">
        <f t="shared" si="2"/>
        <v>5.0000000000000001E-3</v>
      </c>
      <c r="J14" s="21">
        <f t="shared" si="2"/>
        <v>5.0500000000000007E-3</v>
      </c>
      <c r="K14" s="21">
        <f t="shared" si="2"/>
        <v>5.5000000000000005E-3</v>
      </c>
      <c r="L14" s="21">
        <f t="shared" si="2"/>
        <v>6.0000000000000001E-3</v>
      </c>
      <c r="M14" s="21">
        <f t="shared" si="2"/>
        <v>7.0000000000000001E-3</v>
      </c>
    </row>
    <row r="15" spans="1:13" ht="30" customHeight="1" thickBot="1" x14ac:dyDescent="0.25">
      <c r="B15" s="22" t="s">
        <v>15</v>
      </c>
      <c r="C15" s="23">
        <f>IF($C$4&gt;0,IF(C5&gt;0,IF($C$6&gt;0,IF(C7&gt;0,SQRT(C4*C6),""),""),""),"")</f>
        <v>1.341640786499874E-3</v>
      </c>
      <c r="D15" s="24">
        <f>IF($C$4&gt;0,IF($C$5&gt;0,IF($C$6&gt;0,IF($C$7&gt;0,$C$6*D12/D14,""),""),""),"")</f>
        <v>1.6199999999999998E-4</v>
      </c>
      <c r="E15" s="24">
        <f>IF($C$4&gt;0,IF($C$5&gt;0,IF($C$6&gt;0,IF($C$7&gt;0,$C$6*E12/E14,""),""),""),"")</f>
        <v>1.8E-5</v>
      </c>
      <c r="F15" s="24">
        <f>IF($C$4&gt;0,IF($C$5&gt;0,IF($C$6&gt;0,IF($C$7&gt;0,$C$6*F12/F14,""),""),""),"")</f>
        <v>9.473684210526317E-7</v>
      </c>
      <c r="G15" s="24">
        <f>IF($C$4&gt;0,IF($C$5&gt;0,IF($C$6&gt;0,IF($C$7&gt;0,$C$6*G12/G14,""),""),""),"")</f>
        <v>5.5670103092783315E-7</v>
      </c>
      <c r="H15" s="24">
        <f>IF($C$4&gt;0,IF($C$5&gt;0,IF($C$6&gt;0,IF($C$7&gt;0,$C$6*H12/H14,""),""),""),"")</f>
        <v>1.8181818181818117E-7</v>
      </c>
      <c r="I15" s="23">
        <f>IF(C4&gt;0,IF(C5&gt;0,IF(C6&gt;0,IF(C7&gt;0,0.00000000000001/(SQRT((0.00000000000001/C6)*I14/((C7+I10)/1000))),""),""),""),"")</f>
        <v>1.8973665961010277E-9</v>
      </c>
      <c r="J15" s="23">
        <f>IF($C$4&gt;0,IF($C$5&gt;0,IF($C$6&gt;0,IF($C$7&gt;0,0.00000000000001/(J13/(($C$7+J10)/1000)),""),""),""),"")</f>
        <v>2.0099999999999713E-11</v>
      </c>
      <c r="K15" s="23">
        <f>IF($C$4&gt;0,IF($C$5&gt;0,IF($C$6&gt;0,IF($C$7&gt;0,0.00000000000001/(K13/(($C$7+K10)/1000)),""),""),""),"")</f>
        <v>2.0999999999999963E-12</v>
      </c>
      <c r="L15" s="23">
        <f>IF($C$4&gt;0,IF($C$5&gt;0,IF($C$6&gt;0,IF($C$7&gt;0,0.00000000000001/(L13/(($C$7+L10)/1000)),""),""),""),"")</f>
        <v>1.1E-12</v>
      </c>
      <c r="M15" s="23">
        <f>IF($C$4&gt;0,IF($C$5&gt;0,IF($C$6&gt;0,IF($C$7&gt;0,0.00000000000001/(M13/(($C$7+M10)/1000)),""),""),""),"")</f>
        <v>5.9999999999999997E-13</v>
      </c>
    </row>
  </sheetData>
  <sheetProtection password="E864" sheet="1"/>
  <mergeCells count="4">
    <mergeCell ref="A2:M2"/>
    <mergeCell ref="C9:G9"/>
    <mergeCell ref="E4:J7"/>
    <mergeCell ref="J9:M9"/>
  </mergeCells>
  <phoneticPr fontId="0" type="noConversion"/>
  <pageMargins left="1.23" right="0.75" top="1" bottom="0.78" header="0.5" footer="0.5"/>
  <pageSetup paperSize="9" orientation="landscape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topLeftCell="A13" workbookViewId="0">
      <selection activeCell="W28" sqref="W28"/>
    </sheetView>
  </sheetViews>
  <sheetFormatPr defaultRowHeight="12.75" x14ac:dyDescent="0.2"/>
  <cols>
    <col min="1" max="1" width="5.7109375" style="1" customWidth="1"/>
    <col min="2" max="2" width="21.85546875" style="1" customWidth="1"/>
    <col min="3" max="3" width="9.140625" style="1"/>
    <col min="4" max="18" width="5.7109375" style="1" customWidth="1"/>
    <col min="19" max="16384" width="9.140625" style="1"/>
  </cols>
  <sheetData>
    <row r="2" spans="1:18" ht="24.75" customHeight="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8" ht="15.7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30" customHeight="1" thickBot="1" x14ac:dyDescent="0.25">
      <c r="B4" s="3" t="s">
        <v>1</v>
      </c>
      <c r="C4" s="4">
        <v>0.1</v>
      </c>
      <c r="D4" s="5"/>
      <c r="E4" s="45" t="s">
        <v>20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</row>
    <row r="5" spans="1:18" ht="30" customHeight="1" thickBot="1" x14ac:dyDescent="0.25">
      <c r="B5" s="3" t="s">
        <v>3</v>
      </c>
      <c r="C5" s="30">
        <f>C4</f>
        <v>0.1</v>
      </c>
      <c r="D5" s="5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1:18" ht="30" customHeight="1" thickBot="1" x14ac:dyDescent="0.25">
      <c r="B6" s="6" t="s">
        <v>4</v>
      </c>
      <c r="C6" s="7">
        <v>1.8E-5</v>
      </c>
      <c r="D6" s="8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1:18" ht="30" customHeight="1" thickBot="1" x14ac:dyDescent="0.25">
      <c r="B7" s="9" t="s">
        <v>5</v>
      </c>
      <c r="C7" s="4">
        <v>50</v>
      </c>
      <c r="D7" s="5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</row>
    <row r="10" spans="1:18" x14ac:dyDescent="0.2">
      <c r="B10" s="27" t="s">
        <v>19</v>
      </c>
      <c r="C10" s="31">
        <v>0</v>
      </c>
      <c r="D10" s="31">
        <v>5</v>
      </c>
      <c r="E10" s="31">
        <v>10</v>
      </c>
      <c r="F10" s="31">
        <v>20</v>
      </c>
      <c r="G10" s="31">
        <v>40</v>
      </c>
      <c r="H10" s="31">
        <v>45</v>
      </c>
      <c r="I10" s="31">
        <v>48</v>
      </c>
      <c r="J10" s="31">
        <v>49</v>
      </c>
      <c r="K10" s="31">
        <v>49.5</v>
      </c>
      <c r="L10" s="31">
        <v>49.9</v>
      </c>
      <c r="M10" s="26">
        <f>C7</f>
        <v>50</v>
      </c>
      <c r="N10" s="31">
        <v>50.1</v>
      </c>
      <c r="O10" s="31">
        <v>50.5</v>
      </c>
      <c r="P10" s="31">
        <v>51</v>
      </c>
      <c r="Q10" s="31">
        <v>55</v>
      </c>
      <c r="R10" s="31">
        <v>70</v>
      </c>
    </row>
    <row r="11" spans="1:18" x14ac:dyDescent="0.2">
      <c r="B11" s="28" t="s">
        <v>11</v>
      </c>
      <c r="C11" s="29">
        <f>-LOG10(SQRT(C4*C6))</f>
        <v>2.8723637474483468</v>
      </c>
      <c r="D11" s="29">
        <f>-LOG10($C6*(($C4*$C7/1000-$C5*D10/1000)/($C5*D10/1000)))</f>
        <v>3.7904849854573692</v>
      </c>
      <c r="E11" s="29">
        <f t="shared" ref="E11:L11" si="0">-LOG10($C6*(($C4*$C7/1000-$C5*E10/1000)/($C5*E10/1000)))</f>
        <v>4.1426675035687319</v>
      </c>
      <c r="F11" s="29">
        <f t="shared" si="0"/>
        <v>4.5686362358410131</v>
      </c>
      <c r="G11" s="29">
        <f t="shared" si="0"/>
        <v>5.346787486224656</v>
      </c>
      <c r="H11" s="29">
        <f t="shared" si="0"/>
        <v>5.6989700043360187</v>
      </c>
      <c r="I11" s="29">
        <f t="shared" si="0"/>
        <v>6.1249387366083008</v>
      </c>
      <c r="J11" s="29">
        <f t="shared" si="0"/>
        <v>6.4349235749252101</v>
      </c>
      <c r="K11" s="29">
        <f t="shared" si="0"/>
        <v>6.7403626894942468</v>
      </c>
      <c r="L11" s="29">
        <f t="shared" si="0"/>
        <v>7.4428280405201015</v>
      </c>
      <c r="M11" s="29">
        <f>14+LOG10(SQRT(0.00000000000001/C6*(C4*C7/(C7+M10))))</f>
        <v>8.7218487496163561</v>
      </c>
      <c r="N11" s="29">
        <f>14+LOG10((($C5*N10)-($C4*$C7))/($C7+N10))</f>
        <v>9.999565922520711</v>
      </c>
      <c r="O11" s="29">
        <f>14+LOG10((($C5*O10)-($C4*$C7))/($C7+O10))</f>
        <v>10.696803942579518</v>
      </c>
      <c r="P11" s="29">
        <f>14+LOG10((($C5*P10)-($C4*$C7))/($C7+P10))</f>
        <v>10.995678626217359</v>
      </c>
      <c r="Q11" s="29">
        <f>14+LOG10((($C5*Q10)-($C4*$C7))/($C7+Q10))</f>
        <v>11.67778070526608</v>
      </c>
      <c r="R11" s="29">
        <f>14+LOG10((($C5*R10)-($C4*$C7))/($C7+R10))</f>
        <v>12.221848749616356</v>
      </c>
    </row>
  </sheetData>
  <sheetProtection password="E864" sheet="1"/>
  <mergeCells count="2">
    <mergeCell ref="A2:M2"/>
    <mergeCell ref="E4:R7"/>
  </mergeCells>
  <pageMargins left="1.23" right="0.75" top="1" bottom="0.78" header="0.5" footer="0.5"/>
  <pageSetup paperSize="9" orientation="landscape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 forte B forte</vt:lpstr>
      <vt:lpstr>A debole B forte</vt:lpstr>
      <vt:lpstr>A debole B forte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Antonino Micale</cp:lastModifiedBy>
  <dcterms:created xsi:type="dcterms:W3CDTF">2004-05-16T07:05:18Z</dcterms:created>
  <dcterms:modified xsi:type="dcterms:W3CDTF">2016-04-01T19:07:34Z</dcterms:modified>
</cp:coreProperties>
</file>